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4474\FÆLLES\Budgetsamråd\2023\"/>
    </mc:Choice>
  </mc:AlternateContent>
  <xr:revisionPtr revIDLastSave="0" documentId="13_ncr:1_{51528E39-69F1-494F-934D-C2D728239FC1}" xr6:coauthVersionLast="47" xr6:coauthVersionMax="47" xr10:uidLastSave="{00000000-0000-0000-0000-000000000000}"/>
  <bookViews>
    <workbookView xWindow="-120" yWindow="-120" windowWidth="29040" windowHeight="15720" xr2:uid="{8C94BB5C-ECB1-4601-A404-B95EF463B39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K44" i="1"/>
  <c r="J45" i="1"/>
  <c r="L29" i="1"/>
  <c r="K30" i="1"/>
  <c r="E30" i="1"/>
  <c r="E20" i="1"/>
  <c r="J18" i="1"/>
  <c r="E16" i="1"/>
  <c r="J12" i="1"/>
  <c r="L13" i="1"/>
  <c r="K11" i="1"/>
  <c r="K49" i="1" s="1"/>
  <c r="J11" i="1"/>
  <c r="O43" i="1"/>
  <c r="Q43" i="1" s="1"/>
  <c r="K43" i="1"/>
  <c r="E7" i="1"/>
  <c r="E9" i="1"/>
  <c r="E10" i="1"/>
  <c r="E11" i="1"/>
  <c r="E12" i="1"/>
  <c r="E13" i="1"/>
  <c r="E15" i="1"/>
  <c r="E17" i="1"/>
  <c r="E18" i="1"/>
  <c r="N18" i="1" s="1"/>
  <c r="E19" i="1"/>
  <c r="E21" i="1"/>
  <c r="E22" i="1"/>
  <c r="E23" i="1"/>
  <c r="E24" i="1"/>
  <c r="E26" i="1"/>
  <c r="E27" i="1"/>
  <c r="E28" i="1"/>
  <c r="E29" i="1"/>
  <c r="E31" i="1"/>
  <c r="E32" i="1"/>
  <c r="E34" i="1"/>
  <c r="N34" i="1" s="1"/>
  <c r="E35" i="1"/>
  <c r="E37" i="1"/>
  <c r="N37" i="1" s="1"/>
  <c r="E38" i="1"/>
  <c r="E39" i="1"/>
  <c r="E40" i="1"/>
  <c r="N40" i="1" s="1"/>
  <c r="E41" i="1"/>
  <c r="E43" i="1"/>
  <c r="E44" i="1"/>
  <c r="E45" i="1"/>
  <c r="E47" i="1"/>
  <c r="E6" i="1"/>
  <c r="C44" i="1"/>
  <c r="C49" i="1" s="1"/>
  <c r="D49" i="1"/>
  <c r="H49" i="1"/>
  <c r="I49" i="1"/>
  <c r="Q7" i="1"/>
  <c r="Q9" i="1"/>
  <c r="Q10" i="1"/>
  <c r="Q11" i="1"/>
  <c r="Q12" i="1"/>
  <c r="Q13" i="1"/>
  <c r="Q15" i="1"/>
  <c r="Q16" i="1"/>
  <c r="Q17" i="1"/>
  <c r="Q18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4" i="1"/>
  <c r="Q35" i="1"/>
  <c r="Q37" i="1"/>
  <c r="Q38" i="1"/>
  <c r="Q40" i="1"/>
  <c r="Q44" i="1"/>
  <c r="Q45" i="1"/>
  <c r="Q47" i="1"/>
  <c r="Q39" i="1"/>
  <c r="Q6" i="1"/>
  <c r="N32" i="1"/>
  <c r="N28" i="1"/>
  <c r="B49" i="1"/>
  <c r="F49" i="1" l="1"/>
  <c r="N29" i="1"/>
  <c r="R29" i="1" s="1"/>
  <c r="L49" i="1"/>
  <c r="J49" i="1"/>
  <c r="N21" i="1"/>
  <c r="R21" i="1" s="1"/>
  <c r="N35" i="1"/>
  <c r="R35" i="1" s="1"/>
  <c r="G49" i="1"/>
  <c r="M49" i="1"/>
  <c r="E49" i="1"/>
  <c r="N20" i="1"/>
  <c r="R20" i="1" s="1"/>
  <c r="N30" i="1"/>
  <c r="R30" i="1" s="1"/>
  <c r="N11" i="1"/>
  <c r="R11" i="1" s="1"/>
  <c r="N27" i="1"/>
  <c r="R27" i="1" s="1"/>
  <c r="N23" i="1"/>
  <c r="R23" i="1" s="1"/>
  <c r="N9" i="1"/>
  <c r="R9" i="1" s="1"/>
  <c r="N39" i="1"/>
  <c r="R39" i="1" s="1"/>
  <c r="Q41" i="1"/>
  <c r="Q49" i="1" s="1"/>
  <c r="N12" i="1"/>
  <c r="R12" i="1" s="1"/>
  <c r="R34" i="1"/>
  <c r="N10" i="1"/>
  <c r="R10" i="1" s="1"/>
  <c r="N19" i="1"/>
  <c r="R19" i="1" s="1"/>
  <c r="N38" i="1"/>
  <c r="R38" i="1" s="1"/>
  <c r="N7" i="1"/>
  <c r="R7" i="1" s="1"/>
  <c r="N44" i="1"/>
  <c r="R44" i="1" s="1"/>
  <c r="N43" i="1"/>
  <c r="R43" i="1" s="1"/>
  <c r="N15" i="1"/>
  <c r="R15" i="1" s="1"/>
  <c r="N47" i="1"/>
  <c r="R47" i="1" s="1"/>
  <c r="N17" i="1"/>
  <c r="R17" i="1" s="1"/>
  <c r="N13" i="1"/>
  <c r="R13" i="1" s="1"/>
  <c r="N22" i="1"/>
  <c r="R22" i="1" s="1"/>
  <c r="N31" i="1"/>
  <c r="R31" i="1" s="1"/>
  <c r="N41" i="1"/>
  <c r="N26" i="1"/>
  <c r="R26" i="1" s="1"/>
  <c r="N45" i="1"/>
  <c r="R45" i="1" s="1"/>
  <c r="N16" i="1"/>
  <c r="R16" i="1" s="1"/>
  <c r="N24" i="1"/>
  <c r="R24" i="1" s="1"/>
  <c r="R18" i="1"/>
  <c r="R28" i="1"/>
  <c r="R32" i="1"/>
  <c r="R37" i="1"/>
  <c r="R40" i="1"/>
  <c r="N6" i="1"/>
  <c r="R6" i="1" s="1"/>
  <c r="O49" i="1"/>
  <c r="P49" i="1"/>
  <c r="N49" i="1" l="1"/>
  <c r="D53" i="1" s="1"/>
  <c r="R41" i="1"/>
  <c r="R49" i="1" s="1"/>
  <c r="D59" i="1" s="1"/>
</calcChain>
</file>

<file path=xl/sharedStrings.xml><?xml version="1.0" encoding="utf-8"?>
<sst xmlns="http://schemas.openxmlformats.org/spreadsheetml/2006/main" count="95" uniqueCount="83">
  <si>
    <t>Endelig</t>
  </si>
  <si>
    <t xml:space="preserve">Samlet </t>
  </si>
  <si>
    <t>Folkekirke</t>
  </si>
  <si>
    <t>Renset</t>
  </si>
  <si>
    <t>Forsikrings-</t>
  </si>
  <si>
    <t>Gravsteds-</t>
  </si>
  <si>
    <t>Godkendt</t>
  </si>
  <si>
    <t>PU-møder</t>
  </si>
  <si>
    <t>Renter</t>
  </si>
  <si>
    <t>Afdrag på</t>
  </si>
  <si>
    <t>ligning</t>
  </si>
  <si>
    <t>medlemmer</t>
  </si>
  <si>
    <t>driftsramme</t>
  </si>
  <si>
    <t>kapitaler</t>
  </si>
  <si>
    <t>SYN</t>
  </si>
  <si>
    <t xml:space="preserve">ifm. lån i </t>
  </si>
  <si>
    <t>Drifts-</t>
  </si>
  <si>
    <t>lån i Stiftet</t>
  </si>
  <si>
    <t>anlæg</t>
  </si>
  <si>
    <t>01.01.2014</t>
  </si>
  <si>
    <t>APRIL</t>
  </si>
  <si>
    <t>bevilling</t>
  </si>
  <si>
    <t>Stiftet</t>
  </si>
  <si>
    <t>ramme</t>
  </si>
  <si>
    <t>Ørre-Sinding</t>
  </si>
  <si>
    <t>Timring-Tiphede</t>
  </si>
  <si>
    <t>Tjørring</t>
  </si>
  <si>
    <t>Snejbjerg</t>
  </si>
  <si>
    <t>Sunds</t>
  </si>
  <si>
    <t>Aulum</t>
  </si>
  <si>
    <t>Vildbjerg</t>
  </si>
  <si>
    <t>Assing</t>
  </si>
  <si>
    <t>Haunstrup</t>
  </si>
  <si>
    <t>Simmelkær</t>
  </si>
  <si>
    <t>Grove</t>
  </si>
  <si>
    <t>Hodsager</t>
  </si>
  <si>
    <t>Feldborg</t>
  </si>
  <si>
    <t>Vind</t>
  </si>
  <si>
    <t>Fasterholt</t>
  </si>
  <si>
    <t>Skarrild</t>
  </si>
  <si>
    <t>Karstoft</t>
  </si>
  <si>
    <t>Ilderhede</t>
  </si>
  <si>
    <t>Studsgård</t>
  </si>
  <si>
    <t>Ilskov</t>
  </si>
  <si>
    <t>Haderup</t>
  </si>
  <si>
    <t>Nøvling</t>
  </si>
  <si>
    <t>Arnborg</t>
  </si>
  <si>
    <t>Kølkær</t>
  </si>
  <si>
    <t>Ørnhøj</t>
  </si>
  <si>
    <t>Sdr.Felding</t>
  </si>
  <si>
    <t>Vinding</t>
  </si>
  <si>
    <t>Gullestrup</t>
  </si>
  <si>
    <t>Herning</t>
  </si>
  <si>
    <t>Sct. Johannes</t>
  </si>
  <si>
    <t>Hedeager</t>
  </si>
  <si>
    <t>Fredens</t>
  </si>
  <si>
    <t>Herning KG</t>
  </si>
  <si>
    <t>Gjellerup</t>
  </si>
  <si>
    <t>Rind-Kollund</t>
  </si>
  <si>
    <t>I alt</t>
  </si>
  <si>
    <t>Endelig driftsramme</t>
  </si>
  <si>
    <t>Endelig anlægsramme</t>
  </si>
  <si>
    <t>Landskirkeskat</t>
  </si>
  <si>
    <t>Fremskrivning</t>
  </si>
  <si>
    <t>FAR</t>
  </si>
  <si>
    <t>Gravstedskap.</t>
  </si>
  <si>
    <t>Budget 2024</t>
  </si>
  <si>
    <t>Nedskrivning af PUK-kassens frie midler</t>
  </si>
  <si>
    <t>Reservepuljen</t>
  </si>
  <si>
    <t>01.01.2023</t>
  </si>
  <si>
    <t>præmie 2024</t>
  </si>
  <si>
    <t>Kirkelig ligning fra Herning Kommune</t>
  </si>
  <si>
    <t>Den rensede driftsramme kan ikke umiddelbart sammenlignes sognene imellem. Dette skyldes bl.a., at nogle menighedsråd har indgået samarbejdsaftaler</t>
  </si>
  <si>
    <t>med andre menighedsråd, hvoraf det fremgår, at det ene menighedsråd afholder forskellige udgifter - f.eks. Løn til medarbejdere.</t>
  </si>
  <si>
    <t>Udspil fra PU. Til beslutning på budgetsamråd den 22.08.2023</t>
  </si>
  <si>
    <t>Hjemfald</t>
  </si>
  <si>
    <t>gns. på 3 år</t>
  </si>
  <si>
    <t>plus/minus</t>
  </si>
  <si>
    <t>FASTE</t>
  </si>
  <si>
    <t>bevillinger</t>
  </si>
  <si>
    <t>Engangs-</t>
  </si>
  <si>
    <t>(ligning)</t>
  </si>
  <si>
    <r>
      <t xml:space="preserve">PUK-kassen </t>
    </r>
    <r>
      <rPr>
        <b/>
        <i/>
        <sz val="14"/>
        <color theme="1"/>
        <rFont val="Calibri"/>
        <family val="2"/>
        <scheme val="minor"/>
      </rPr>
      <t>(renset ligning)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</si>
</sst>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/>
    <xf numFmtId="0" fontId="1" fillId="2" borderId="1" xfId="0" applyFont="1" applyFill="1" applyBorder="1"/>
    <xf numFmtId="0" fontId="1" fillId="3" borderId="1" xfId="0" applyFont="1" applyFill="1" applyBorder="1"/>
    <xf numFmtId="3" fontId="4" fillId="0" borderId="1" xfId="1" applyNumberFormat="1" applyFont="1" applyFill="1" applyBorder="1"/>
    <xf numFmtId="3" fontId="3" fillId="2" borderId="1" xfId="0" applyNumberFormat="1" applyFont="1" applyFill="1" applyBorder="1"/>
    <xf numFmtId="3" fontId="4" fillId="0" borderId="1" xfId="0" applyNumberFormat="1" applyFont="1" applyBorder="1"/>
    <xf numFmtId="3" fontId="3" fillId="0" borderId="1" xfId="0" quotePrefix="1" applyNumberFormat="1" applyFont="1" applyBorder="1"/>
    <xf numFmtId="0" fontId="4" fillId="0" borderId="1" xfId="0" applyFont="1" applyBorder="1"/>
    <xf numFmtId="0" fontId="3" fillId="2" borderId="1" xfId="0" applyFont="1" applyFill="1" applyBorder="1"/>
    <xf numFmtId="0" fontId="5" fillId="3" borderId="1" xfId="0" applyFont="1" applyFill="1" applyBorder="1"/>
    <xf numFmtId="3" fontId="1" fillId="2" borderId="1" xfId="0" applyNumberFormat="1" applyFont="1" applyFill="1" applyBorder="1"/>
    <xf numFmtId="3" fontId="3" fillId="0" borderId="0" xfId="0" applyNumberFormat="1" applyFont="1"/>
    <xf numFmtId="3" fontId="1" fillId="0" borderId="0" xfId="0" applyNumberFormat="1" applyFont="1"/>
    <xf numFmtId="0" fontId="1" fillId="0" borderId="0" xfId="0" applyFont="1"/>
    <xf numFmtId="3" fontId="1" fillId="0" borderId="3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3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8624-371C-40DB-8FED-17257D9E6A0A}">
  <sheetPr>
    <pageSetUpPr fitToPage="1"/>
  </sheetPr>
  <dimension ref="A1:R63"/>
  <sheetViews>
    <sheetView tabSelected="1" topLeftCell="A3" workbookViewId="0">
      <selection activeCell="K30" sqref="K30"/>
    </sheetView>
  </sheetViews>
  <sheetFormatPr defaultRowHeight="18.75" x14ac:dyDescent="0.3"/>
  <cols>
    <col min="1" max="1" width="21.140625" style="4" customWidth="1"/>
    <col min="2" max="3" width="15.28515625" style="4" bestFit="1" customWidth="1"/>
    <col min="4" max="4" width="15.7109375" style="4" bestFit="1" customWidth="1"/>
    <col min="5" max="5" width="17.7109375" style="4" customWidth="1"/>
    <col min="6" max="6" width="16.5703125" style="4" bestFit="1" customWidth="1"/>
    <col min="7" max="7" width="9.140625" style="4" bestFit="1" customWidth="1"/>
    <col min="8" max="8" width="14.140625" style="4" bestFit="1" customWidth="1"/>
    <col min="9" max="9" width="17.7109375" style="4" bestFit="1" customWidth="1"/>
    <col min="10" max="10" width="12.7109375" style="4" bestFit="1" customWidth="1"/>
    <col min="11" max="11" width="13.5703125" style="4" bestFit="1" customWidth="1"/>
    <col min="12" max="12" width="15.42578125" style="4" bestFit="1" customWidth="1"/>
    <col min="13" max="13" width="11.5703125" style="4" bestFit="1" customWidth="1"/>
    <col min="14" max="15" width="14.28515625" style="4" bestFit="1" customWidth="1"/>
    <col min="16" max="16" width="12.7109375" style="4" bestFit="1" customWidth="1"/>
    <col min="17" max="17" width="14.28515625" style="4" bestFit="1" customWidth="1"/>
    <col min="18" max="18" width="15.7109375" style="4" bestFit="1" customWidth="1"/>
    <col min="19" max="16384" width="9.140625" style="4"/>
  </cols>
  <sheetData>
    <row r="1" spans="1:18" ht="23.25" x14ac:dyDescent="0.35">
      <c r="A1" s="27" t="s">
        <v>66</v>
      </c>
      <c r="B1" s="1"/>
      <c r="C1" s="1"/>
      <c r="D1" s="6" t="s">
        <v>3</v>
      </c>
      <c r="E1" s="1"/>
      <c r="F1" s="2"/>
      <c r="G1" s="2"/>
      <c r="H1" s="6" t="s">
        <v>75</v>
      </c>
      <c r="I1" s="29" t="s">
        <v>8</v>
      </c>
      <c r="J1" s="3"/>
      <c r="K1" s="3"/>
      <c r="L1" s="3"/>
      <c r="M1" s="6" t="s">
        <v>8</v>
      </c>
      <c r="N1" s="3"/>
      <c r="O1" s="3"/>
      <c r="P1" s="3"/>
      <c r="Q1" s="1"/>
      <c r="R1" s="1"/>
    </row>
    <row r="2" spans="1:18" x14ac:dyDescent="0.3">
      <c r="A2" s="5"/>
      <c r="B2" s="6" t="s">
        <v>2</v>
      </c>
      <c r="C2" s="6" t="s">
        <v>2</v>
      </c>
      <c r="D2" s="6" t="s">
        <v>12</v>
      </c>
      <c r="E2" s="6" t="s">
        <v>63</v>
      </c>
      <c r="F2" s="28" t="s">
        <v>4</v>
      </c>
      <c r="G2" s="28" t="s">
        <v>64</v>
      </c>
      <c r="H2" s="29" t="s">
        <v>5</v>
      </c>
      <c r="I2" s="29" t="s">
        <v>65</v>
      </c>
      <c r="J2" s="6" t="s">
        <v>6</v>
      </c>
      <c r="K2" s="6" t="s">
        <v>7</v>
      </c>
      <c r="L2" s="6" t="s">
        <v>7</v>
      </c>
      <c r="M2" s="6" t="s">
        <v>15</v>
      </c>
      <c r="N2" s="6" t="s">
        <v>0</v>
      </c>
      <c r="O2" s="6" t="s">
        <v>9</v>
      </c>
      <c r="P2" s="6" t="s">
        <v>7</v>
      </c>
      <c r="Q2" s="7" t="s">
        <v>0</v>
      </c>
      <c r="R2" s="6" t="s">
        <v>1</v>
      </c>
    </row>
    <row r="3" spans="1:18" x14ac:dyDescent="0.3">
      <c r="A3" s="5"/>
      <c r="B3" s="6" t="s">
        <v>11</v>
      </c>
      <c r="C3" s="6" t="s">
        <v>11</v>
      </c>
      <c r="D3" s="6" t="s">
        <v>81</v>
      </c>
      <c r="E3" s="30">
        <v>0.02</v>
      </c>
      <c r="F3" s="28" t="s">
        <v>70</v>
      </c>
      <c r="G3" s="28"/>
      <c r="H3" s="29" t="s">
        <v>13</v>
      </c>
      <c r="I3" s="29" t="s">
        <v>76</v>
      </c>
      <c r="J3" s="6" t="s">
        <v>14</v>
      </c>
      <c r="K3" s="6" t="s">
        <v>78</v>
      </c>
      <c r="L3" s="6" t="s">
        <v>80</v>
      </c>
      <c r="M3" s="6" t="s">
        <v>22</v>
      </c>
      <c r="N3" s="6" t="s">
        <v>16</v>
      </c>
      <c r="O3" s="6" t="s">
        <v>17</v>
      </c>
      <c r="P3" s="6" t="s">
        <v>80</v>
      </c>
      <c r="Q3" s="7" t="s">
        <v>10</v>
      </c>
      <c r="R3" s="6" t="s">
        <v>10</v>
      </c>
    </row>
    <row r="4" spans="1:18" x14ac:dyDescent="0.3">
      <c r="A4" s="5"/>
      <c r="B4" s="6" t="s">
        <v>19</v>
      </c>
      <c r="C4" s="6" t="s">
        <v>69</v>
      </c>
      <c r="D4" s="31" t="s">
        <v>20</v>
      </c>
      <c r="E4" s="31"/>
      <c r="F4" s="28"/>
      <c r="G4" s="28"/>
      <c r="H4" s="29" t="s">
        <v>76</v>
      </c>
      <c r="I4" s="29" t="s">
        <v>77</v>
      </c>
      <c r="J4" s="6"/>
      <c r="K4" s="6" t="s">
        <v>79</v>
      </c>
      <c r="L4" s="6" t="s">
        <v>79</v>
      </c>
      <c r="M4" s="32">
        <v>1.4999999999999999E-2</v>
      </c>
      <c r="N4" s="6" t="s">
        <v>23</v>
      </c>
      <c r="O4" s="6"/>
      <c r="P4" s="6" t="s">
        <v>21</v>
      </c>
      <c r="Q4" s="7" t="s">
        <v>18</v>
      </c>
      <c r="R4" s="6"/>
    </row>
    <row r="5" spans="1:18" x14ac:dyDescent="0.3">
      <c r="A5" s="5"/>
      <c r="B5" s="6"/>
      <c r="C5" s="6"/>
      <c r="D5" s="33"/>
      <c r="E5" s="33"/>
      <c r="F5" s="8"/>
      <c r="G5" s="8"/>
      <c r="H5" s="29" t="s">
        <v>77</v>
      </c>
      <c r="I5" s="32">
        <v>5.0000000000000001E-3</v>
      </c>
      <c r="J5" s="1"/>
      <c r="K5" s="1"/>
      <c r="L5" s="1"/>
      <c r="M5" s="1"/>
      <c r="N5" s="1"/>
      <c r="O5" s="1"/>
      <c r="P5" s="1"/>
      <c r="Q5" s="9"/>
      <c r="R5" s="1"/>
    </row>
    <row r="6" spans="1:18" x14ac:dyDescent="0.3">
      <c r="A6" s="10" t="s">
        <v>24</v>
      </c>
      <c r="B6" s="2">
        <v>795</v>
      </c>
      <c r="C6" s="2">
        <v>729</v>
      </c>
      <c r="D6" s="2">
        <v>1472668</v>
      </c>
      <c r="E6" s="11">
        <f>SUM(D6*0.02)</f>
        <v>29453.360000000001</v>
      </c>
      <c r="F6" s="2">
        <v>11003</v>
      </c>
      <c r="G6" s="2">
        <v>161</v>
      </c>
      <c r="H6" s="2">
        <v>-84511</v>
      </c>
      <c r="I6" s="2">
        <v>964</v>
      </c>
      <c r="J6" s="2">
        <v>110000</v>
      </c>
      <c r="K6" s="2">
        <v>-64000</v>
      </c>
      <c r="L6" s="2">
        <v>-64000</v>
      </c>
      <c r="M6" s="2">
        <v>30188</v>
      </c>
      <c r="N6" s="12">
        <f>SUM(D6:M6)</f>
        <v>1441926.36</v>
      </c>
      <c r="O6" s="2">
        <v>350000</v>
      </c>
      <c r="P6" s="2">
        <v>0</v>
      </c>
      <c r="Q6" s="12">
        <f>SUM(O6:P6)</f>
        <v>350000</v>
      </c>
      <c r="R6" s="8">
        <f>SUM(N6+Q6)</f>
        <v>1791926.36</v>
      </c>
    </row>
    <row r="7" spans="1:18" x14ac:dyDescent="0.3">
      <c r="A7" s="10" t="s">
        <v>25</v>
      </c>
      <c r="B7" s="2">
        <v>1240</v>
      </c>
      <c r="C7" s="2">
        <v>1094</v>
      </c>
      <c r="D7" s="2">
        <v>1757805</v>
      </c>
      <c r="E7" s="11">
        <f t="shared" ref="E7:E47" si="0">SUM(D7*0.02)</f>
        <v>35156.1</v>
      </c>
      <c r="F7" s="2">
        <v>16512</v>
      </c>
      <c r="G7" s="2">
        <v>242</v>
      </c>
      <c r="H7" s="2">
        <v>71783</v>
      </c>
      <c r="I7" s="2">
        <v>2307</v>
      </c>
      <c r="J7" s="2">
        <v>0</v>
      </c>
      <c r="K7" s="2">
        <v>14789</v>
      </c>
      <c r="L7" s="2">
        <v>190000</v>
      </c>
      <c r="M7" s="2">
        <v>0</v>
      </c>
      <c r="N7" s="12">
        <f>SUM(D7:M7)</f>
        <v>2088594.1</v>
      </c>
      <c r="O7" s="2">
        <v>0</v>
      </c>
      <c r="P7" s="2">
        <v>402500</v>
      </c>
      <c r="Q7" s="12">
        <f>SUM(O7:P7)</f>
        <v>402500</v>
      </c>
      <c r="R7" s="8">
        <f>SUM(N7+Q7)</f>
        <v>2491094.1</v>
      </c>
    </row>
    <row r="8" spans="1:18" x14ac:dyDescent="0.3">
      <c r="A8" s="10"/>
      <c r="B8" s="2"/>
      <c r="C8" s="2"/>
      <c r="D8" s="3"/>
      <c r="E8" s="11"/>
      <c r="F8" s="2"/>
      <c r="G8" s="2"/>
      <c r="H8" s="2"/>
      <c r="I8" s="2"/>
      <c r="J8" s="3"/>
      <c r="K8" s="3"/>
      <c r="L8" s="3"/>
      <c r="M8" s="3"/>
      <c r="N8" s="12"/>
      <c r="O8" s="3"/>
      <c r="P8" s="3"/>
      <c r="Q8" s="12"/>
      <c r="R8" s="8"/>
    </row>
    <row r="9" spans="1:18" x14ac:dyDescent="0.3">
      <c r="A9" s="10" t="s">
        <v>31</v>
      </c>
      <c r="B9" s="2">
        <v>3046</v>
      </c>
      <c r="C9" s="2">
        <v>2814</v>
      </c>
      <c r="D9" s="2">
        <v>2940989</v>
      </c>
      <c r="E9" s="11">
        <f t="shared" si="0"/>
        <v>58819.78</v>
      </c>
      <c r="F9" s="2">
        <v>42474</v>
      </c>
      <c r="G9" s="2">
        <v>622</v>
      </c>
      <c r="H9" s="2">
        <v>-127879</v>
      </c>
      <c r="I9" s="2">
        <v>5241</v>
      </c>
      <c r="J9" s="2">
        <v>10000</v>
      </c>
      <c r="K9" s="2">
        <v>0</v>
      </c>
      <c r="L9" s="2">
        <v>0</v>
      </c>
      <c r="M9" s="13">
        <v>0</v>
      </c>
      <c r="N9" s="12">
        <f>SUM(D9:M9)</f>
        <v>2930266.78</v>
      </c>
      <c r="O9" s="13">
        <v>0</v>
      </c>
      <c r="P9" s="13">
        <v>0</v>
      </c>
      <c r="Q9" s="12">
        <f>SUM(O9:P9)</f>
        <v>0</v>
      </c>
      <c r="R9" s="8">
        <f>SUM(N9+Q9)</f>
        <v>2930266.78</v>
      </c>
    </row>
    <row r="10" spans="1:18" x14ac:dyDescent="0.3">
      <c r="A10" s="10" t="s">
        <v>29</v>
      </c>
      <c r="B10" s="2">
        <v>3806</v>
      </c>
      <c r="C10" s="2">
        <v>3799</v>
      </c>
      <c r="D10" s="2">
        <v>4535832</v>
      </c>
      <c r="E10" s="11">
        <f t="shared" si="0"/>
        <v>90716.64</v>
      </c>
      <c r="F10" s="2">
        <v>57341</v>
      </c>
      <c r="G10" s="2">
        <v>839</v>
      </c>
      <c r="H10" s="2">
        <v>57312</v>
      </c>
      <c r="I10" s="2">
        <v>5775</v>
      </c>
      <c r="J10" s="13">
        <v>0</v>
      </c>
      <c r="K10" s="13">
        <v>98368</v>
      </c>
      <c r="L10" s="13">
        <v>104000</v>
      </c>
      <c r="M10" s="13">
        <v>0</v>
      </c>
      <c r="N10" s="12">
        <f>SUM(D10:M10)</f>
        <v>4950183.6399999997</v>
      </c>
      <c r="O10" s="13">
        <v>0</v>
      </c>
      <c r="P10" s="13">
        <v>0</v>
      </c>
      <c r="Q10" s="12">
        <f>SUM(O10:P10)</f>
        <v>0</v>
      </c>
      <c r="R10" s="8">
        <f>SUM(N10+Q10)</f>
        <v>4950183.6399999997</v>
      </c>
    </row>
    <row r="11" spans="1:18" x14ac:dyDescent="0.3">
      <c r="A11" s="10" t="s">
        <v>27</v>
      </c>
      <c r="B11" s="2">
        <v>3936</v>
      </c>
      <c r="C11" s="2">
        <v>4546</v>
      </c>
      <c r="D11" s="2">
        <v>4454891</v>
      </c>
      <c r="E11" s="11">
        <f t="shared" si="0"/>
        <v>89097.82</v>
      </c>
      <c r="F11" s="2">
        <v>68616</v>
      </c>
      <c r="G11" s="2">
        <v>1004</v>
      </c>
      <c r="H11" s="2">
        <v>34195</v>
      </c>
      <c r="I11" s="2">
        <v>2721</v>
      </c>
      <c r="J11" s="2">
        <f>13464+75000</f>
        <v>88464</v>
      </c>
      <c r="K11" s="2">
        <f>52000+146000</f>
        <v>198000</v>
      </c>
      <c r="L11" s="2">
        <v>464000</v>
      </c>
      <c r="M11" s="13">
        <v>59191</v>
      </c>
      <c r="N11" s="12">
        <f>SUM(D11:M11)</f>
        <v>5460179.8200000003</v>
      </c>
      <c r="O11" s="13">
        <v>1434936</v>
      </c>
      <c r="P11" s="13">
        <v>190314</v>
      </c>
      <c r="Q11" s="12">
        <f>SUM(O11:P11)</f>
        <v>1625250</v>
      </c>
      <c r="R11" s="8">
        <f>SUM(N11+Q11)</f>
        <v>7085429.8200000003</v>
      </c>
    </row>
    <row r="12" spans="1:18" x14ac:dyDescent="0.3">
      <c r="A12" s="10" t="s">
        <v>30</v>
      </c>
      <c r="B12" s="2">
        <v>3994</v>
      </c>
      <c r="C12" s="2">
        <v>3852</v>
      </c>
      <c r="D12" s="2">
        <v>4136862</v>
      </c>
      <c r="E12" s="11">
        <f t="shared" si="0"/>
        <v>82737.240000000005</v>
      </c>
      <c r="F12" s="2">
        <v>58141</v>
      </c>
      <c r="G12" s="2">
        <v>851</v>
      </c>
      <c r="H12" s="2">
        <v>-245962</v>
      </c>
      <c r="I12" s="2">
        <v>5668</v>
      </c>
      <c r="J12" s="2">
        <f>10000+127000</f>
        <v>137000</v>
      </c>
      <c r="K12" s="2">
        <v>-332000</v>
      </c>
      <c r="L12" s="2">
        <v>210000</v>
      </c>
      <c r="M12" s="13">
        <v>0</v>
      </c>
      <c r="N12" s="12">
        <f>SUM(D12:M12)</f>
        <v>4053297.24</v>
      </c>
      <c r="O12" s="13">
        <v>0</v>
      </c>
      <c r="P12" s="13">
        <v>100000</v>
      </c>
      <c r="Q12" s="12">
        <f>SUM(O12:P12)</f>
        <v>100000</v>
      </c>
      <c r="R12" s="8">
        <f>SUM(N12+Q12)</f>
        <v>4153297.24</v>
      </c>
    </row>
    <row r="13" spans="1:18" x14ac:dyDescent="0.3">
      <c r="A13" s="10" t="s">
        <v>28</v>
      </c>
      <c r="B13" s="2">
        <v>4202</v>
      </c>
      <c r="C13" s="2">
        <v>4226</v>
      </c>
      <c r="D13" s="2">
        <v>4355594</v>
      </c>
      <c r="E13" s="11">
        <f t="shared" si="0"/>
        <v>87111.88</v>
      </c>
      <c r="F13" s="2">
        <v>63786</v>
      </c>
      <c r="G13" s="2">
        <v>934</v>
      </c>
      <c r="H13" s="2">
        <v>-39893</v>
      </c>
      <c r="I13" s="2">
        <v>3317</v>
      </c>
      <c r="J13" s="13">
        <v>15000</v>
      </c>
      <c r="K13" s="13">
        <v>-83000</v>
      </c>
      <c r="L13" s="13">
        <f>-43000+227000</f>
        <v>184000</v>
      </c>
      <c r="M13" s="13">
        <v>0</v>
      </c>
      <c r="N13" s="12">
        <f>SUM(D13:M13)</f>
        <v>4586849.88</v>
      </c>
      <c r="O13" s="13">
        <v>0</v>
      </c>
      <c r="P13" s="13">
        <v>287224</v>
      </c>
      <c r="Q13" s="12">
        <f>SUM(O13:P13)</f>
        <v>287224</v>
      </c>
      <c r="R13" s="8">
        <f>SUM(N13+Q13)</f>
        <v>4874073.88</v>
      </c>
    </row>
    <row r="14" spans="1:18" x14ac:dyDescent="0.3">
      <c r="A14" s="10"/>
      <c r="B14" s="2"/>
      <c r="C14" s="2"/>
      <c r="D14" s="3"/>
      <c r="E14" s="11"/>
      <c r="F14" s="2"/>
      <c r="G14" s="2"/>
      <c r="H14" s="2"/>
      <c r="I14" s="3"/>
      <c r="J14" s="3"/>
      <c r="K14" s="3"/>
      <c r="L14" s="3"/>
      <c r="M14" s="3"/>
      <c r="N14" s="12"/>
      <c r="O14" s="3"/>
      <c r="P14" s="3"/>
      <c r="Q14" s="12"/>
      <c r="R14" s="8"/>
    </row>
    <row r="15" spans="1:18" x14ac:dyDescent="0.3">
      <c r="A15" s="10" t="s">
        <v>34</v>
      </c>
      <c r="B15" s="2">
        <v>147</v>
      </c>
      <c r="C15" s="2">
        <v>155</v>
      </c>
      <c r="D15" s="2">
        <v>1105247</v>
      </c>
      <c r="E15" s="11">
        <f t="shared" si="0"/>
        <v>22104.94</v>
      </c>
      <c r="F15" s="2">
        <v>2340</v>
      </c>
      <c r="G15" s="2">
        <v>34</v>
      </c>
      <c r="H15" s="2">
        <v>3742</v>
      </c>
      <c r="I15" s="2">
        <v>253</v>
      </c>
      <c r="J15" s="13">
        <v>0</v>
      </c>
      <c r="K15" s="13">
        <v>0</v>
      </c>
      <c r="L15" s="13">
        <v>0</v>
      </c>
      <c r="M15" s="3">
        <v>0</v>
      </c>
      <c r="N15" s="12">
        <f t="shared" ref="N15:N24" si="1">SUM(D15:M15)</f>
        <v>1133720.94</v>
      </c>
      <c r="O15" s="3">
        <v>0</v>
      </c>
      <c r="P15" s="2">
        <v>0</v>
      </c>
      <c r="Q15" s="12">
        <f t="shared" ref="Q15:Q24" si="2">SUM(O15:P15)</f>
        <v>0</v>
      </c>
      <c r="R15" s="8">
        <f t="shared" ref="R15:R24" si="3">SUM(N15+Q15)</f>
        <v>1133720.94</v>
      </c>
    </row>
    <row r="16" spans="1:18" x14ac:dyDescent="0.3">
      <c r="A16" s="10" t="s">
        <v>32</v>
      </c>
      <c r="B16" s="2">
        <v>339</v>
      </c>
      <c r="C16" s="2">
        <v>305</v>
      </c>
      <c r="D16" s="2">
        <v>679878</v>
      </c>
      <c r="E16" s="11">
        <f t="shared" si="0"/>
        <v>13597.56</v>
      </c>
      <c r="F16" s="2">
        <v>4604</v>
      </c>
      <c r="G16" s="2">
        <v>67</v>
      </c>
      <c r="H16" s="2">
        <v>-32668</v>
      </c>
      <c r="I16" s="2">
        <v>841</v>
      </c>
      <c r="J16" s="13">
        <v>0</v>
      </c>
      <c r="K16" s="13">
        <v>0</v>
      </c>
      <c r="L16" s="13">
        <v>0</v>
      </c>
      <c r="M16" s="13">
        <v>14660</v>
      </c>
      <c r="N16" s="12">
        <f t="shared" si="1"/>
        <v>680979.56</v>
      </c>
      <c r="O16" s="13">
        <v>1465952</v>
      </c>
      <c r="P16" s="13">
        <v>0</v>
      </c>
      <c r="Q16" s="12">
        <f t="shared" si="2"/>
        <v>1465952</v>
      </c>
      <c r="R16" s="8">
        <f t="shared" si="3"/>
        <v>2146931.56</v>
      </c>
    </row>
    <row r="17" spans="1:18" x14ac:dyDescent="0.3">
      <c r="A17" s="10" t="s">
        <v>40</v>
      </c>
      <c r="B17" s="2">
        <v>341</v>
      </c>
      <c r="C17" s="2">
        <v>300</v>
      </c>
      <c r="D17" s="2">
        <v>571814</v>
      </c>
      <c r="E17" s="11">
        <f t="shared" si="0"/>
        <v>11436.28</v>
      </c>
      <c r="F17" s="2">
        <v>4528</v>
      </c>
      <c r="G17" s="2">
        <v>66</v>
      </c>
      <c r="H17" s="2">
        <v>-136661</v>
      </c>
      <c r="I17" s="2">
        <v>1437</v>
      </c>
      <c r="J17" s="2">
        <v>69000</v>
      </c>
      <c r="K17" s="2">
        <v>0</v>
      </c>
      <c r="L17" s="2">
        <v>0</v>
      </c>
      <c r="M17" s="3">
        <v>0</v>
      </c>
      <c r="N17" s="12">
        <f t="shared" si="1"/>
        <v>521620.28</v>
      </c>
      <c r="O17" s="3">
        <v>0</v>
      </c>
      <c r="P17" s="3">
        <v>0</v>
      </c>
      <c r="Q17" s="12">
        <f t="shared" si="2"/>
        <v>0</v>
      </c>
      <c r="R17" s="8">
        <f t="shared" si="3"/>
        <v>521620.28</v>
      </c>
    </row>
    <row r="18" spans="1:18" x14ac:dyDescent="0.3">
      <c r="A18" s="10" t="s">
        <v>38</v>
      </c>
      <c r="B18" s="2">
        <v>386</v>
      </c>
      <c r="C18" s="2">
        <v>340</v>
      </c>
      <c r="D18" s="2">
        <v>706535</v>
      </c>
      <c r="E18" s="11">
        <f t="shared" si="0"/>
        <v>14130.7</v>
      </c>
      <c r="F18" s="2">
        <v>5132</v>
      </c>
      <c r="G18" s="2">
        <v>75</v>
      </c>
      <c r="H18" s="2">
        <v>-15502</v>
      </c>
      <c r="I18" s="2">
        <v>682</v>
      </c>
      <c r="J18" s="2">
        <f>130000+21000</f>
        <v>151000</v>
      </c>
      <c r="K18" s="2">
        <v>60000</v>
      </c>
      <c r="L18" s="2">
        <v>30000</v>
      </c>
      <c r="M18" s="3">
        <v>0</v>
      </c>
      <c r="N18" s="12">
        <f t="shared" si="1"/>
        <v>952052.7</v>
      </c>
      <c r="O18" s="3">
        <v>0</v>
      </c>
      <c r="P18" s="2">
        <v>400000</v>
      </c>
      <c r="Q18" s="12">
        <f t="shared" si="2"/>
        <v>400000</v>
      </c>
      <c r="R18" s="8">
        <f t="shared" si="3"/>
        <v>1352052.7</v>
      </c>
    </row>
    <row r="19" spans="1:18" x14ac:dyDescent="0.3">
      <c r="A19" s="10" t="s">
        <v>33</v>
      </c>
      <c r="B19" s="2">
        <v>404</v>
      </c>
      <c r="C19" s="2">
        <v>360</v>
      </c>
      <c r="D19" s="2">
        <v>569191</v>
      </c>
      <c r="E19" s="11">
        <f t="shared" si="0"/>
        <v>11383.82</v>
      </c>
      <c r="F19" s="2">
        <v>5434</v>
      </c>
      <c r="G19" s="2">
        <v>80</v>
      </c>
      <c r="H19" s="2">
        <v>9930</v>
      </c>
      <c r="I19" s="2">
        <v>395</v>
      </c>
      <c r="J19" s="13">
        <v>0</v>
      </c>
      <c r="K19" s="13">
        <v>0</v>
      </c>
      <c r="L19" s="13">
        <v>0</v>
      </c>
      <c r="M19" s="13">
        <v>0</v>
      </c>
      <c r="N19" s="12">
        <f t="shared" si="1"/>
        <v>596413.81999999995</v>
      </c>
      <c r="O19" s="13">
        <v>0</v>
      </c>
      <c r="P19" s="13">
        <v>0</v>
      </c>
      <c r="Q19" s="12">
        <f t="shared" si="2"/>
        <v>0</v>
      </c>
      <c r="R19" s="8">
        <f t="shared" si="3"/>
        <v>596413.81999999995</v>
      </c>
    </row>
    <row r="20" spans="1:18" x14ac:dyDescent="0.3">
      <c r="A20" s="10" t="s">
        <v>41</v>
      </c>
      <c r="B20" s="2">
        <v>392</v>
      </c>
      <c r="C20" s="2">
        <v>345</v>
      </c>
      <c r="D20" s="2">
        <v>680438</v>
      </c>
      <c r="E20" s="11">
        <f t="shared" si="0"/>
        <v>13608.76</v>
      </c>
      <c r="F20" s="2">
        <v>5207</v>
      </c>
      <c r="G20" s="2">
        <v>76</v>
      </c>
      <c r="H20" s="2">
        <v>-2691</v>
      </c>
      <c r="I20" s="2">
        <v>545</v>
      </c>
      <c r="J20" s="2">
        <v>0</v>
      </c>
      <c r="K20" s="2">
        <v>-21000</v>
      </c>
      <c r="L20" s="2"/>
      <c r="M20" s="2">
        <v>10000</v>
      </c>
      <c r="N20" s="12">
        <f t="shared" si="1"/>
        <v>686183.76</v>
      </c>
      <c r="O20" s="2">
        <v>500000</v>
      </c>
      <c r="P20" s="2">
        <v>0</v>
      </c>
      <c r="Q20" s="12">
        <f t="shared" si="2"/>
        <v>500000</v>
      </c>
      <c r="R20" s="8">
        <f t="shared" si="3"/>
        <v>1186183.76</v>
      </c>
    </row>
    <row r="21" spans="1:18" x14ac:dyDescent="0.3">
      <c r="A21" s="10" t="s">
        <v>37</v>
      </c>
      <c r="B21" s="2">
        <v>484</v>
      </c>
      <c r="C21" s="2">
        <v>418</v>
      </c>
      <c r="D21" s="2">
        <v>694059</v>
      </c>
      <c r="E21" s="11">
        <f t="shared" si="0"/>
        <v>13881.18</v>
      </c>
      <c r="F21" s="2">
        <v>6309</v>
      </c>
      <c r="G21" s="2">
        <v>92</v>
      </c>
      <c r="H21" s="2">
        <v>-16954</v>
      </c>
      <c r="I21" s="2">
        <v>1409</v>
      </c>
      <c r="J21" s="13">
        <v>0</v>
      </c>
      <c r="K21" s="13">
        <v>0</v>
      </c>
      <c r="L21" s="13">
        <v>0</v>
      </c>
      <c r="M21" s="2">
        <v>0</v>
      </c>
      <c r="N21" s="12">
        <f t="shared" si="1"/>
        <v>698796.18</v>
      </c>
      <c r="O21" s="2">
        <v>0</v>
      </c>
      <c r="P21" s="2">
        <v>0</v>
      </c>
      <c r="Q21" s="12">
        <f t="shared" si="2"/>
        <v>0</v>
      </c>
      <c r="R21" s="8">
        <f t="shared" si="3"/>
        <v>698796.18</v>
      </c>
    </row>
    <row r="22" spans="1:18" x14ac:dyDescent="0.3">
      <c r="A22" s="10" t="s">
        <v>39</v>
      </c>
      <c r="B22" s="2">
        <v>560</v>
      </c>
      <c r="C22" s="2">
        <v>463</v>
      </c>
      <c r="D22" s="2">
        <v>858581</v>
      </c>
      <c r="E22" s="11">
        <f t="shared" si="0"/>
        <v>17171.62</v>
      </c>
      <c r="F22" s="2">
        <v>6988</v>
      </c>
      <c r="G22" s="2">
        <v>102</v>
      </c>
      <c r="H22" s="2">
        <v>-5056</v>
      </c>
      <c r="I22" s="2">
        <v>535</v>
      </c>
      <c r="J22" s="13">
        <v>0</v>
      </c>
      <c r="K22" s="13">
        <v>7085</v>
      </c>
      <c r="L22" s="13">
        <v>0</v>
      </c>
      <c r="M22" s="2">
        <v>0</v>
      </c>
      <c r="N22" s="12">
        <f t="shared" si="1"/>
        <v>885406.62</v>
      </c>
      <c r="O22" s="2">
        <v>0</v>
      </c>
      <c r="P22" s="2">
        <v>0</v>
      </c>
      <c r="Q22" s="12">
        <f t="shared" si="2"/>
        <v>0</v>
      </c>
      <c r="R22" s="8">
        <f t="shared" si="3"/>
        <v>885406.62</v>
      </c>
    </row>
    <row r="23" spans="1:18" x14ac:dyDescent="0.3">
      <c r="A23" s="10" t="s">
        <v>36</v>
      </c>
      <c r="B23" s="2">
        <v>716</v>
      </c>
      <c r="C23" s="2">
        <v>651</v>
      </c>
      <c r="D23" s="2">
        <v>768348</v>
      </c>
      <c r="E23" s="11">
        <f t="shared" si="0"/>
        <v>15366.960000000001</v>
      </c>
      <c r="F23" s="2">
        <v>9826</v>
      </c>
      <c r="G23" s="2">
        <v>144</v>
      </c>
      <c r="H23" s="2">
        <v>2073</v>
      </c>
      <c r="I23" s="2">
        <v>684</v>
      </c>
      <c r="J23" s="13">
        <v>10000</v>
      </c>
      <c r="K23" s="13">
        <v>0</v>
      </c>
      <c r="L23" s="13">
        <v>0</v>
      </c>
      <c r="M23" s="3">
        <v>0</v>
      </c>
      <c r="N23" s="12">
        <f t="shared" si="1"/>
        <v>806441.96</v>
      </c>
      <c r="O23" s="3">
        <v>0</v>
      </c>
      <c r="P23" s="2">
        <v>0</v>
      </c>
      <c r="Q23" s="12">
        <f t="shared" si="2"/>
        <v>0</v>
      </c>
      <c r="R23" s="8">
        <f t="shared" si="3"/>
        <v>806441.96</v>
      </c>
    </row>
    <row r="24" spans="1:18" x14ac:dyDescent="0.3">
      <c r="A24" s="10" t="s">
        <v>35</v>
      </c>
      <c r="B24" s="2">
        <v>665</v>
      </c>
      <c r="C24" s="2">
        <v>595</v>
      </c>
      <c r="D24" s="2">
        <v>290165</v>
      </c>
      <c r="E24" s="11">
        <f t="shared" si="0"/>
        <v>5803.3</v>
      </c>
      <c r="F24" s="2">
        <v>8981</v>
      </c>
      <c r="G24" s="2">
        <v>131</v>
      </c>
      <c r="H24" s="2">
        <v>-67133</v>
      </c>
      <c r="I24" s="2">
        <v>607</v>
      </c>
      <c r="J24" s="13">
        <v>0</v>
      </c>
      <c r="K24" s="13">
        <v>69417</v>
      </c>
      <c r="L24" s="13">
        <v>8000</v>
      </c>
      <c r="M24" s="3">
        <v>0</v>
      </c>
      <c r="N24" s="12">
        <f t="shared" si="1"/>
        <v>315971.3</v>
      </c>
      <c r="O24" s="3">
        <v>0</v>
      </c>
      <c r="P24" s="2">
        <v>50000</v>
      </c>
      <c r="Q24" s="12">
        <f t="shared" si="2"/>
        <v>50000</v>
      </c>
      <c r="R24" s="8">
        <f t="shared" si="3"/>
        <v>365971.3</v>
      </c>
    </row>
    <row r="25" spans="1:18" x14ac:dyDescent="0.3">
      <c r="A25" s="10"/>
      <c r="B25" s="2"/>
      <c r="C25" s="2"/>
      <c r="D25" s="3"/>
      <c r="E25" s="11"/>
      <c r="F25" s="2"/>
      <c r="G25" s="2"/>
      <c r="H25" s="2"/>
      <c r="I25" s="3"/>
      <c r="J25" s="3"/>
      <c r="K25" s="3"/>
      <c r="L25" s="3"/>
      <c r="M25" s="3"/>
      <c r="N25" s="12"/>
      <c r="O25" s="3"/>
      <c r="P25" s="3"/>
      <c r="Q25" s="12"/>
      <c r="R25" s="8"/>
    </row>
    <row r="26" spans="1:18" x14ac:dyDescent="0.3">
      <c r="A26" s="10" t="s">
        <v>42</v>
      </c>
      <c r="B26" s="2">
        <v>753</v>
      </c>
      <c r="C26" s="2">
        <v>643</v>
      </c>
      <c r="D26" s="2">
        <v>302333</v>
      </c>
      <c r="E26" s="11">
        <f t="shared" si="0"/>
        <v>6046.66</v>
      </c>
      <c r="F26" s="2">
        <v>9705</v>
      </c>
      <c r="G26" s="2">
        <v>142</v>
      </c>
      <c r="H26" s="2">
        <v>-353</v>
      </c>
      <c r="I26" s="2">
        <v>530</v>
      </c>
      <c r="J26" s="2">
        <v>0</v>
      </c>
      <c r="K26" s="2">
        <v>0</v>
      </c>
      <c r="L26" s="2">
        <v>0</v>
      </c>
      <c r="M26" s="2">
        <v>7740</v>
      </c>
      <c r="N26" s="12">
        <f t="shared" ref="N26:N32" si="4">SUM(D26:M26)</f>
        <v>326143.65999999997</v>
      </c>
      <c r="O26" s="2">
        <v>516000</v>
      </c>
      <c r="P26" s="2">
        <v>0</v>
      </c>
      <c r="Q26" s="12">
        <f t="shared" ref="Q26:Q32" si="5">SUM(O26:P26)</f>
        <v>516000</v>
      </c>
      <c r="R26" s="8">
        <f t="shared" ref="R26:R32" si="6">SUM(N26+Q26)</f>
        <v>842143.65999999992</v>
      </c>
    </row>
    <row r="27" spans="1:18" x14ac:dyDescent="0.3">
      <c r="A27" s="10" t="s">
        <v>47</v>
      </c>
      <c r="B27" s="2">
        <v>793</v>
      </c>
      <c r="C27" s="2">
        <v>734</v>
      </c>
      <c r="D27" s="2">
        <v>999927</v>
      </c>
      <c r="E27" s="11">
        <f t="shared" si="0"/>
        <v>19998.54</v>
      </c>
      <c r="F27" s="2">
        <v>11079</v>
      </c>
      <c r="G27" s="2">
        <v>162</v>
      </c>
      <c r="H27" s="2">
        <v>107115</v>
      </c>
      <c r="I27" s="2">
        <v>1353</v>
      </c>
      <c r="J27" s="2">
        <v>0</v>
      </c>
      <c r="K27" s="2">
        <v>0</v>
      </c>
      <c r="L27" s="2">
        <v>0</v>
      </c>
      <c r="M27" s="3">
        <v>0</v>
      </c>
      <c r="N27" s="12">
        <f t="shared" si="4"/>
        <v>1139634.54</v>
      </c>
      <c r="O27" s="3">
        <v>0</v>
      </c>
      <c r="P27" s="3">
        <v>0</v>
      </c>
      <c r="Q27" s="12">
        <f t="shared" si="5"/>
        <v>0</v>
      </c>
      <c r="R27" s="8">
        <f t="shared" si="6"/>
        <v>1139634.54</v>
      </c>
    </row>
    <row r="28" spans="1:18" x14ac:dyDescent="0.3">
      <c r="A28" s="10" t="s">
        <v>46</v>
      </c>
      <c r="B28" s="2">
        <v>824</v>
      </c>
      <c r="C28" s="2">
        <v>732</v>
      </c>
      <c r="D28" s="2">
        <v>1208350</v>
      </c>
      <c r="E28" s="11">
        <f t="shared" si="0"/>
        <v>24167</v>
      </c>
      <c r="F28" s="2">
        <v>11049</v>
      </c>
      <c r="G28" s="2">
        <v>162</v>
      </c>
      <c r="H28" s="2">
        <v>-31323</v>
      </c>
      <c r="I28" s="2">
        <v>1132</v>
      </c>
      <c r="J28" s="3">
        <v>0</v>
      </c>
      <c r="K28" s="2">
        <v>25000</v>
      </c>
      <c r="L28" s="3">
        <v>0</v>
      </c>
      <c r="M28" s="14">
        <v>0</v>
      </c>
      <c r="N28" s="12">
        <f t="shared" si="4"/>
        <v>1238537</v>
      </c>
      <c r="O28" s="2">
        <v>0</v>
      </c>
      <c r="P28" s="2">
        <v>170000</v>
      </c>
      <c r="Q28" s="12">
        <f t="shared" si="5"/>
        <v>170000</v>
      </c>
      <c r="R28" s="8">
        <f t="shared" si="6"/>
        <v>1408537</v>
      </c>
    </row>
    <row r="29" spans="1:18" x14ac:dyDescent="0.3">
      <c r="A29" s="10" t="s">
        <v>45</v>
      </c>
      <c r="B29" s="2">
        <v>876</v>
      </c>
      <c r="C29" s="2">
        <v>798</v>
      </c>
      <c r="D29" s="2">
        <v>893453</v>
      </c>
      <c r="E29" s="11">
        <f t="shared" si="0"/>
        <v>17869.060000000001</v>
      </c>
      <c r="F29" s="2">
        <v>12045</v>
      </c>
      <c r="G29" s="2">
        <v>176</v>
      </c>
      <c r="H29" s="2">
        <v>10512</v>
      </c>
      <c r="I29" s="2">
        <v>425</v>
      </c>
      <c r="J29" s="2">
        <v>90000</v>
      </c>
      <c r="K29" s="2">
        <v>332000</v>
      </c>
      <c r="L29" s="2">
        <f>-184428+235000</f>
        <v>50572</v>
      </c>
      <c r="M29" s="13">
        <v>0</v>
      </c>
      <c r="N29" s="12">
        <f t="shared" si="4"/>
        <v>1407052.06</v>
      </c>
      <c r="O29" s="13">
        <v>0</v>
      </c>
      <c r="P29" s="13">
        <v>0</v>
      </c>
      <c r="Q29" s="12">
        <f t="shared" si="5"/>
        <v>0</v>
      </c>
      <c r="R29" s="8">
        <f t="shared" si="6"/>
        <v>1407052.06</v>
      </c>
    </row>
    <row r="30" spans="1:18" x14ac:dyDescent="0.3">
      <c r="A30" s="10" t="s">
        <v>44</v>
      </c>
      <c r="B30" s="2">
        <v>910</v>
      </c>
      <c r="C30" s="2">
        <v>831</v>
      </c>
      <c r="D30" s="2">
        <v>1427422</v>
      </c>
      <c r="E30" s="11">
        <f t="shared" si="0"/>
        <v>28548.440000000002</v>
      </c>
      <c r="F30" s="2">
        <v>12543</v>
      </c>
      <c r="G30" s="2">
        <v>184</v>
      </c>
      <c r="H30" s="2">
        <v>-35044</v>
      </c>
      <c r="I30" s="2">
        <v>2096</v>
      </c>
      <c r="J30" s="13">
        <v>0</v>
      </c>
      <c r="K30" s="13">
        <f>28880+8000</f>
        <v>36880</v>
      </c>
      <c r="L30" s="13">
        <v>50000</v>
      </c>
      <c r="M30" s="3">
        <v>0</v>
      </c>
      <c r="N30" s="12">
        <f t="shared" si="4"/>
        <v>1522629.44</v>
      </c>
      <c r="O30" s="3">
        <v>0</v>
      </c>
      <c r="P30" s="3">
        <v>0</v>
      </c>
      <c r="Q30" s="12">
        <f t="shared" si="5"/>
        <v>0</v>
      </c>
      <c r="R30" s="8">
        <f t="shared" si="6"/>
        <v>1522629.44</v>
      </c>
    </row>
    <row r="31" spans="1:18" x14ac:dyDescent="0.3">
      <c r="A31" s="10" t="s">
        <v>48</v>
      </c>
      <c r="B31" s="2">
        <v>1119</v>
      </c>
      <c r="C31" s="2">
        <v>943</v>
      </c>
      <c r="D31" s="2">
        <v>1273087</v>
      </c>
      <c r="E31" s="11">
        <f t="shared" si="0"/>
        <v>25461.74</v>
      </c>
      <c r="F31" s="2">
        <v>14233</v>
      </c>
      <c r="G31" s="2">
        <v>208</v>
      </c>
      <c r="H31" s="2">
        <v>3479</v>
      </c>
      <c r="I31" s="2">
        <v>1001</v>
      </c>
      <c r="J31" s="2">
        <v>20000</v>
      </c>
      <c r="K31" s="2">
        <v>0</v>
      </c>
      <c r="L31" s="2">
        <v>0</v>
      </c>
      <c r="M31" s="13">
        <v>0</v>
      </c>
      <c r="N31" s="12">
        <f t="shared" si="4"/>
        <v>1337469.74</v>
      </c>
      <c r="O31" s="13">
        <v>0</v>
      </c>
      <c r="P31" s="13">
        <v>0</v>
      </c>
      <c r="Q31" s="12">
        <f t="shared" si="5"/>
        <v>0</v>
      </c>
      <c r="R31" s="8">
        <f t="shared" si="6"/>
        <v>1337469.74</v>
      </c>
    </row>
    <row r="32" spans="1:18" x14ac:dyDescent="0.3">
      <c r="A32" s="10" t="s">
        <v>43</v>
      </c>
      <c r="B32" s="2">
        <v>1079</v>
      </c>
      <c r="C32" s="2">
        <v>888</v>
      </c>
      <c r="D32" s="2">
        <v>827676</v>
      </c>
      <c r="E32" s="11">
        <f t="shared" si="0"/>
        <v>16553.52</v>
      </c>
      <c r="F32" s="2">
        <v>13403</v>
      </c>
      <c r="G32" s="2">
        <v>196</v>
      </c>
      <c r="H32" s="2">
        <v>-82291</v>
      </c>
      <c r="I32" s="2">
        <v>1033</v>
      </c>
      <c r="J32" s="2">
        <v>0</v>
      </c>
      <c r="K32" s="2">
        <v>0</v>
      </c>
      <c r="L32" s="2">
        <v>10000</v>
      </c>
      <c r="M32" s="2">
        <v>0</v>
      </c>
      <c r="N32" s="12">
        <f t="shared" si="4"/>
        <v>786570.52</v>
      </c>
      <c r="O32" s="2">
        <v>0</v>
      </c>
      <c r="P32" s="2">
        <v>70000</v>
      </c>
      <c r="Q32" s="12">
        <f t="shared" si="5"/>
        <v>70000</v>
      </c>
      <c r="R32" s="8">
        <f t="shared" si="6"/>
        <v>856570.52</v>
      </c>
    </row>
    <row r="33" spans="1:18" x14ac:dyDescent="0.3">
      <c r="A33" s="10"/>
      <c r="B33" s="2"/>
      <c r="C33" s="2"/>
      <c r="D33" s="3"/>
      <c r="E33" s="11"/>
      <c r="F33" s="2"/>
      <c r="G33" s="2"/>
      <c r="H33" s="2"/>
      <c r="I33" s="3"/>
      <c r="J33" s="3"/>
      <c r="K33" s="3"/>
      <c r="L33" s="3"/>
      <c r="M33" s="3"/>
      <c r="N33" s="12"/>
      <c r="O33" s="3"/>
      <c r="P33" s="3"/>
      <c r="Q33" s="12"/>
      <c r="R33" s="8"/>
    </row>
    <row r="34" spans="1:18" x14ac:dyDescent="0.3">
      <c r="A34" s="10" t="s">
        <v>50</v>
      </c>
      <c r="B34" s="2">
        <v>1669</v>
      </c>
      <c r="C34" s="2">
        <v>1531</v>
      </c>
      <c r="D34" s="2">
        <v>1383686</v>
      </c>
      <c r="E34" s="11">
        <f t="shared" si="0"/>
        <v>27673.72</v>
      </c>
      <c r="F34" s="2">
        <v>23108</v>
      </c>
      <c r="G34" s="2">
        <v>338</v>
      </c>
      <c r="H34" s="2">
        <v>-92882</v>
      </c>
      <c r="I34" s="2">
        <v>1563</v>
      </c>
      <c r="J34" s="2">
        <v>10000</v>
      </c>
      <c r="K34" s="2">
        <v>20663</v>
      </c>
      <c r="L34" s="2">
        <v>249510</v>
      </c>
      <c r="M34" s="2">
        <v>32202</v>
      </c>
      <c r="N34" s="12">
        <f>SUM(D34:M34)</f>
        <v>1655861.72</v>
      </c>
      <c r="O34" s="2">
        <v>831032</v>
      </c>
      <c r="P34" s="2">
        <v>0</v>
      </c>
      <c r="Q34" s="12">
        <f>SUM(O34:P34)</f>
        <v>831032</v>
      </c>
      <c r="R34" s="8">
        <f>SUM(N34+Q34)</f>
        <v>2486893.7199999997</v>
      </c>
    </row>
    <row r="35" spans="1:18" x14ac:dyDescent="0.3">
      <c r="A35" s="10" t="s">
        <v>49</v>
      </c>
      <c r="B35" s="2">
        <v>1717</v>
      </c>
      <c r="C35" s="2">
        <v>1478</v>
      </c>
      <c r="D35" s="2">
        <v>1739397</v>
      </c>
      <c r="E35" s="11">
        <f t="shared" si="0"/>
        <v>34787.94</v>
      </c>
      <c r="F35" s="2">
        <v>22308</v>
      </c>
      <c r="G35" s="2">
        <v>327</v>
      </c>
      <c r="H35" s="2">
        <v>-22419</v>
      </c>
      <c r="I35" s="2">
        <v>2213</v>
      </c>
      <c r="J35" s="2">
        <v>0</v>
      </c>
      <c r="K35" s="2">
        <v>-42485</v>
      </c>
      <c r="L35" s="2">
        <v>0</v>
      </c>
      <c r="M35" s="13">
        <v>0</v>
      </c>
      <c r="N35" s="12">
        <f>SUM(D35:M35)</f>
        <v>1734128.94</v>
      </c>
      <c r="O35" s="13">
        <v>0</v>
      </c>
      <c r="P35" s="13">
        <v>0</v>
      </c>
      <c r="Q35" s="12">
        <f>SUM(O35:P35)</f>
        <v>0</v>
      </c>
      <c r="R35" s="8">
        <f>SUM(N35+Q35)</f>
        <v>1734128.94</v>
      </c>
    </row>
    <row r="36" spans="1:18" x14ac:dyDescent="0.3">
      <c r="A36" s="10"/>
      <c r="B36" s="2"/>
      <c r="C36" s="2"/>
      <c r="D36" s="3"/>
      <c r="E36" s="11"/>
      <c r="F36" s="2"/>
      <c r="G36" s="2"/>
      <c r="H36" s="2"/>
      <c r="I36" s="2"/>
      <c r="J36" s="3"/>
      <c r="K36" s="3"/>
      <c r="L36" s="3"/>
      <c r="M36" s="3"/>
      <c r="N36" s="12"/>
      <c r="O36" s="3"/>
      <c r="P36" s="3"/>
      <c r="Q36" s="12"/>
      <c r="R36" s="8"/>
    </row>
    <row r="37" spans="1:18" x14ac:dyDescent="0.3">
      <c r="A37" s="10" t="s">
        <v>51</v>
      </c>
      <c r="B37" s="2">
        <v>1370</v>
      </c>
      <c r="C37" s="2">
        <v>1390</v>
      </c>
      <c r="D37" s="2">
        <v>1525149</v>
      </c>
      <c r="E37" s="11">
        <f t="shared" si="0"/>
        <v>30502.98</v>
      </c>
      <c r="F37" s="2">
        <v>20980</v>
      </c>
      <c r="G37" s="2">
        <v>307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2">
        <f>SUM(D37:M37)</f>
        <v>1576938.98</v>
      </c>
      <c r="O37" s="2">
        <v>0</v>
      </c>
      <c r="P37" s="2">
        <v>0</v>
      </c>
      <c r="Q37" s="12">
        <f>SUM(O37:P37)</f>
        <v>0</v>
      </c>
      <c r="R37" s="8">
        <f>SUM(N37+Q37)</f>
        <v>1576938.98</v>
      </c>
    </row>
    <row r="38" spans="1:18" x14ac:dyDescent="0.3">
      <c r="A38" s="10" t="s">
        <v>54</v>
      </c>
      <c r="B38" s="2">
        <v>3232</v>
      </c>
      <c r="C38" s="2">
        <v>2888</v>
      </c>
      <c r="D38" s="2">
        <v>3228530</v>
      </c>
      <c r="E38" s="11">
        <f t="shared" si="0"/>
        <v>64570.6</v>
      </c>
      <c r="F38" s="2">
        <v>43591</v>
      </c>
      <c r="G38" s="2">
        <v>638</v>
      </c>
      <c r="H38" s="2">
        <v>0</v>
      </c>
      <c r="I38" s="2">
        <v>0</v>
      </c>
      <c r="J38" s="2">
        <v>0</v>
      </c>
      <c r="K38" s="2">
        <v>60000</v>
      </c>
      <c r="L38" s="2">
        <v>36000</v>
      </c>
      <c r="M38" s="2">
        <v>26250</v>
      </c>
      <c r="N38" s="12">
        <f>SUM(D38:M38)</f>
        <v>3459579.6</v>
      </c>
      <c r="O38" s="2">
        <v>1000000</v>
      </c>
      <c r="P38" s="2">
        <v>0</v>
      </c>
      <c r="Q38" s="12">
        <f>SUM(O38:P38)</f>
        <v>1000000</v>
      </c>
      <c r="R38" s="8">
        <f>SUM(N38+Q38)</f>
        <v>4459579.5999999996</v>
      </c>
    </row>
    <row r="39" spans="1:18" x14ac:dyDescent="0.3">
      <c r="A39" s="10" t="s">
        <v>55</v>
      </c>
      <c r="B39" s="2">
        <v>4648</v>
      </c>
      <c r="C39" s="2">
        <v>4073</v>
      </c>
      <c r="D39" s="2">
        <v>3051448</v>
      </c>
      <c r="E39" s="11">
        <f t="shared" si="0"/>
        <v>61028.959999999999</v>
      </c>
      <c r="F39" s="2">
        <v>61477</v>
      </c>
      <c r="G39" s="2">
        <v>900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13">
        <v>152671</v>
      </c>
      <c r="N39" s="12">
        <f>SUM(D39:M39)</f>
        <v>3327524.96</v>
      </c>
      <c r="O39" s="13">
        <v>4921987</v>
      </c>
      <c r="P39" s="13">
        <v>0</v>
      </c>
      <c r="Q39" s="12">
        <f>SUM(O39:P39)</f>
        <v>4921987</v>
      </c>
      <c r="R39" s="8">
        <f>SUM(N39+Q39)</f>
        <v>8249511.96</v>
      </c>
    </row>
    <row r="40" spans="1:18" x14ac:dyDescent="0.3">
      <c r="A40" s="10" t="s">
        <v>53</v>
      </c>
      <c r="B40" s="2">
        <v>5637</v>
      </c>
      <c r="C40" s="2">
        <v>5107</v>
      </c>
      <c r="D40" s="2">
        <v>3310281</v>
      </c>
      <c r="E40" s="11">
        <f t="shared" si="0"/>
        <v>66205.62</v>
      </c>
      <c r="F40" s="2">
        <v>77083</v>
      </c>
      <c r="G40" s="2">
        <v>1128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107557</v>
      </c>
      <c r="N40" s="12">
        <f>SUM(D40:M40)</f>
        <v>3562254.62</v>
      </c>
      <c r="O40" s="2">
        <v>3763128</v>
      </c>
      <c r="P40" s="2">
        <v>0</v>
      </c>
      <c r="Q40" s="12">
        <f>SUM(O40:P40)</f>
        <v>3763128</v>
      </c>
      <c r="R40" s="8">
        <f>SUM(N40+Q40)</f>
        <v>7325382.6200000001</v>
      </c>
    </row>
    <row r="41" spans="1:18" x14ac:dyDescent="0.3">
      <c r="A41" s="10" t="s">
        <v>52</v>
      </c>
      <c r="B41" s="2">
        <v>6625</v>
      </c>
      <c r="C41" s="2">
        <v>6834</v>
      </c>
      <c r="D41" s="2">
        <v>5899631</v>
      </c>
      <c r="E41" s="11">
        <f t="shared" si="0"/>
        <v>117992.62</v>
      </c>
      <c r="F41" s="2">
        <v>103150</v>
      </c>
      <c r="G41" s="2">
        <v>1510</v>
      </c>
      <c r="H41" s="2">
        <v>0</v>
      </c>
      <c r="I41" s="2">
        <v>0</v>
      </c>
      <c r="J41" s="13">
        <v>47000</v>
      </c>
      <c r="K41" s="13">
        <v>76000</v>
      </c>
      <c r="L41" s="13">
        <v>126395</v>
      </c>
      <c r="M41" s="13">
        <v>233003</v>
      </c>
      <c r="N41" s="12">
        <f>SUM(D41:M41)</f>
        <v>6604681.6200000001</v>
      </c>
      <c r="O41" s="13">
        <v>767088</v>
      </c>
      <c r="P41" s="13">
        <v>0</v>
      </c>
      <c r="Q41" s="12">
        <f>SUM(O41:P41)</f>
        <v>767088</v>
      </c>
      <c r="R41" s="8">
        <f>SUM(N41+Q41)</f>
        <v>7371769.6200000001</v>
      </c>
    </row>
    <row r="42" spans="1:18" x14ac:dyDescent="0.3">
      <c r="A42" s="10"/>
      <c r="B42" s="2"/>
      <c r="C42" s="2"/>
      <c r="D42" s="3"/>
      <c r="E42" s="11"/>
      <c r="F42" s="2"/>
      <c r="G42" s="2"/>
      <c r="H42" s="2"/>
      <c r="I42" s="3"/>
      <c r="J42" s="3"/>
      <c r="K42" s="3"/>
      <c r="L42" s="3"/>
      <c r="M42" s="3"/>
      <c r="N42" s="12"/>
      <c r="O42" s="3"/>
      <c r="P42" s="3"/>
      <c r="Q42" s="12"/>
      <c r="R42" s="8"/>
    </row>
    <row r="43" spans="1:18" x14ac:dyDescent="0.3">
      <c r="A43" s="10" t="s">
        <v>26</v>
      </c>
      <c r="B43" s="2">
        <v>4719</v>
      </c>
      <c r="C43" s="2">
        <v>5286</v>
      </c>
      <c r="D43" s="2">
        <v>4519835</v>
      </c>
      <c r="E43" s="11">
        <f t="shared" si="0"/>
        <v>90396.7</v>
      </c>
      <c r="F43" s="2">
        <v>79785</v>
      </c>
      <c r="G43" s="2">
        <v>1168</v>
      </c>
      <c r="H43" s="2">
        <v>15795</v>
      </c>
      <c r="I43" s="2">
        <v>1264</v>
      </c>
      <c r="J43" s="2">
        <v>0</v>
      </c>
      <c r="K43" s="2">
        <f>160500+73708</f>
        <v>234208</v>
      </c>
      <c r="L43" s="2">
        <v>72940</v>
      </c>
      <c r="M43" s="2">
        <v>213960</v>
      </c>
      <c r="N43" s="12">
        <f>SUM(D43:M43)</f>
        <v>5229351.7</v>
      </c>
      <c r="O43" s="2">
        <f>1320000+412035</f>
        <v>1732035</v>
      </c>
      <c r="P43" s="2">
        <v>428883</v>
      </c>
      <c r="Q43" s="12">
        <f>SUM(O43:P43)</f>
        <v>2160918</v>
      </c>
      <c r="R43" s="8">
        <f>SUM(N43+Q43)</f>
        <v>7390269.7000000002</v>
      </c>
    </row>
    <row r="44" spans="1:18" x14ac:dyDescent="0.3">
      <c r="A44" s="10" t="s">
        <v>58</v>
      </c>
      <c r="B44" s="2">
        <v>5453</v>
      </c>
      <c r="C44" s="2">
        <f>318+5679</f>
        <v>5997</v>
      </c>
      <c r="D44" s="2">
        <v>4819715</v>
      </c>
      <c r="E44" s="11">
        <f t="shared" si="0"/>
        <v>96394.3</v>
      </c>
      <c r="F44" s="2">
        <v>90517</v>
      </c>
      <c r="G44" s="2">
        <v>1325</v>
      </c>
      <c r="H44" s="2">
        <v>27721</v>
      </c>
      <c r="I44" s="2">
        <v>1719</v>
      </c>
      <c r="J44" s="13">
        <v>93000</v>
      </c>
      <c r="K44" s="13">
        <f>81000+53000</f>
        <v>134000</v>
      </c>
      <c r="L44" s="13">
        <v>15000</v>
      </c>
      <c r="M44" s="2">
        <v>20018</v>
      </c>
      <c r="N44" s="12">
        <f>SUM(D44:M44)</f>
        <v>5299409.3</v>
      </c>
      <c r="O44" s="2">
        <v>762584</v>
      </c>
      <c r="P44" s="2">
        <v>50000</v>
      </c>
      <c r="Q44" s="12">
        <f>SUM(O44:P44)</f>
        <v>812584</v>
      </c>
      <c r="R44" s="8">
        <f>SUM(N44+Q44)</f>
        <v>6111993.2999999998</v>
      </c>
    </row>
    <row r="45" spans="1:18" x14ac:dyDescent="0.3">
      <c r="A45" s="10" t="s">
        <v>57</v>
      </c>
      <c r="B45" s="2">
        <v>7373</v>
      </c>
      <c r="C45" s="2">
        <v>7225</v>
      </c>
      <c r="D45" s="2">
        <v>5032259</v>
      </c>
      <c r="E45" s="11">
        <f t="shared" si="0"/>
        <v>100645.18000000001</v>
      </c>
      <c r="F45" s="2">
        <v>109052</v>
      </c>
      <c r="G45" s="2">
        <v>1596</v>
      </c>
      <c r="H45" s="2">
        <v>-121085</v>
      </c>
      <c r="I45" s="2">
        <v>5251</v>
      </c>
      <c r="J45" s="2">
        <f>100000+68000</f>
        <v>168000</v>
      </c>
      <c r="K45" s="2">
        <v>76166</v>
      </c>
      <c r="L45" s="2">
        <v>55000</v>
      </c>
      <c r="M45" s="13">
        <v>20514</v>
      </c>
      <c r="N45" s="12">
        <f>SUM(D45:M45)</f>
        <v>5447398.1799999997</v>
      </c>
      <c r="O45" s="13">
        <v>1892901</v>
      </c>
      <c r="P45" s="13">
        <v>100000</v>
      </c>
      <c r="Q45" s="12">
        <f>SUM(O45:P45)</f>
        <v>1992901</v>
      </c>
      <c r="R45" s="8">
        <f>SUM(N45+Q45)</f>
        <v>7440299.1799999997</v>
      </c>
    </row>
    <row r="46" spans="1:18" x14ac:dyDescent="0.3">
      <c r="A46" s="10"/>
      <c r="B46" s="2"/>
      <c r="C46" s="2"/>
      <c r="D46" s="2"/>
      <c r="E46" s="11"/>
      <c r="F46" s="2"/>
      <c r="G46" s="2"/>
      <c r="H46" s="2"/>
      <c r="I46" s="2"/>
      <c r="J46" s="2"/>
      <c r="K46" s="2"/>
      <c r="L46" s="2"/>
      <c r="M46" s="13"/>
      <c r="N46" s="12"/>
      <c r="O46" s="13"/>
      <c r="P46" s="13"/>
      <c r="Q46" s="12"/>
      <c r="R46" s="8"/>
    </row>
    <row r="47" spans="1:18" x14ac:dyDescent="0.3">
      <c r="A47" s="10" t="s">
        <v>56</v>
      </c>
      <c r="B47" s="2"/>
      <c r="C47" s="2"/>
      <c r="D47" s="2">
        <v>5765689</v>
      </c>
      <c r="E47" s="11">
        <f t="shared" si="0"/>
        <v>115313.78</v>
      </c>
      <c r="F47" s="2">
        <v>0</v>
      </c>
      <c r="G47" s="2">
        <v>0</v>
      </c>
      <c r="H47" s="2">
        <v>-354304</v>
      </c>
      <c r="I47" s="2">
        <v>26028</v>
      </c>
      <c r="J47" s="2">
        <v>35000</v>
      </c>
      <c r="K47" s="2">
        <v>0</v>
      </c>
      <c r="L47" s="2">
        <v>0</v>
      </c>
      <c r="M47" s="2">
        <v>16333</v>
      </c>
      <c r="N47" s="12">
        <f>SUM(D47:M47)</f>
        <v>5604059.7800000003</v>
      </c>
      <c r="O47" s="2">
        <v>700000</v>
      </c>
      <c r="P47" s="2">
        <v>0</v>
      </c>
      <c r="Q47" s="12">
        <f>SUM(O47:P47)</f>
        <v>700000</v>
      </c>
      <c r="R47" s="8">
        <f>SUM(N47+Q47)</f>
        <v>6304059.7800000003</v>
      </c>
    </row>
    <row r="48" spans="1:18" x14ac:dyDescent="0.3">
      <c r="A48" s="10"/>
      <c r="B48" s="2"/>
      <c r="C48" s="2"/>
      <c r="D48" s="3"/>
      <c r="E48" s="3"/>
      <c r="F48" s="2"/>
      <c r="G48" s="2"/>
      <c r="H48" s="2"/>
      <c r="I48" s="3"/>
      <c r="J48" s="3"/>
      <c r="K48" s="3"/>
      <c r="L48" s="15"/>
      <c r="M48" s="3"/>
      <c r="N48" s="16"/>
      <c r="O48" s="3"/>
      <c r="P48" s="3"/>
      <c r="Q48" s="12"/>
      <c r="R48" s="8"/>
    </row>
    <row r="49" spans="1:18" x14ac:dyDescent="0.3">
      <c r="A49" s="17" t="s">
        <v>59</v>
      </c>
      <c r="B49" s="8">
        <f t="shared" ref="B49:Q49" si="7">SUM(B6:B48)</f>
        <v>74250</v>
      </c>
      <c r="C49" s="8">
        <f t="shared" si="7"/>
        <v>72370</v>
      </c>
      <c r="D49" s="8">
        <f t="shared" si="7"/>
        <v>77786765</v>
      </c>
      <c r="E49" s="8">
        <f t="shared" si="7"/>
        <v>1555735.2999999998</v>
      </c>
      <c r="F49" s="8">
        <f t="shared" si="7"/>
        <v>1092330</v>
      </c>
      <c r="G49" s="8">
        <f t="shared" si="7"/>
        <v>15987</v>
      </c>
      <c r="H49" s="8">
        <f t="shared" si="7"/>
        <v>-1170954</v>
      </c>
      <c r="I49" s="8">
        <f t="shared" si="7"/>
        <v>78989</v>
      </c>
      <c r="J49" s="8">
        <f t="shared" si="7"/>
        <v>1053464</v>
      </c>
      <c r="K49" s="8">
        <f t="shared" si="7"/>
        <v>900091</v>
      </c>
      <c r="L49" s="8">
        <f t="shared" si="7"/>
        <v>1791417</v>
      </c>
      <c r="M49" s="8">
        <f t="shared" si="7"/>
        <v>944287</v>
      </c>
      <c r="N49" s="18">
        <f>SUM(N6:N48)</f>
        <v>84048111.299999982</v>
      </c>
      <c r="O49" s="8">
        <f t="shared" si="7"/>
        <v>20637643</v>
      </c>
      <c r="P49" s="8">
        <f t="shared" si="7"/>
        <v>2248921</v>
      </c>
      <c r="Q49" s="18">
        <f t="shared" si="7"/>
        <v>22886564</v>
      </c>
      <c r="R49" s="8">
        <f>SUM(R6:R48)</f>
        <v>106934675.29999998</v>
      </c>
    </row>
    <row r="50" spans="1:18" x14ac:dyDescent="0.3">
      <c r="F50" s="19"/>
      <c r="G50" s="19"/>
      <c r="H50" s="19"/>
      <c r="N50" s="19"/>
      <c r="Q50" s="19"/>
      <c r="R50" s="20"/>
    </row>
    <row r="51" spans="1:18" x14ac:dyDescent="0.3">
      <c r="F51" s="19"/>
      <c r="G51" s="19"/>
      <c r="H51" s="19"/>
      <c r="R51" s="21"/>
    </row>
    <row r="52" spans="1:18" x14ac:dyDescent="0.3">
      <c r="A52" s="22" t="s">
        <v>71</v>
      </c>
      <c r="B52" s="23"/>
      <c r="C52" s="24"/>
      <c r="D52" s="2">
        <v>140106434</v>
      </c>
      <c r="E52" s="21"/>
      <c r="F52" s="21"/>
      <c r="G52" s="20"/>
      <c r="H52" s="20"/>
      <c r="I52" s="20"/>
      <c r="K52" s="19"/>
      <c r="L52" s="21"/>
      <c r="M52" s="21"/>
      <c r="Q52" s="25"/>
      <c r="R52" s="21"/>
    </row>
    <row r="53" spans="1:18" x14ac:dyDescent="0.3">
      <c r="A53" s="22" t="s">
        <v>60</v>
      </c>
      <c r="B53" s="23"/>
      <c r="C53" s="24"/>
      <c r="D53" s="12">
        <f>SUM(-N49)</f>
        <v>-84048111.299999982</v>
      </c>
      <c r="E53" s="21"/>
      <c r="F53" s="21"/>
      <c r="G53" s="20"/>
      <c r="H53" s="20"/>
      <c r="I53" s="20"/>
      <c r="K53" s="19"/>
      <c r="L53" s="21"/>
      <c r="M53" s="21"/>
      <c r="R53" s="21"/>
    </row>
    <row r="54" spans="1:18" x14ac:dyDescent="0.3">
      <c r="A54" s="22" t="s">
        <v>61</v>
      </c>
      <c r="B54" s="23"/>
      <c r="C54" s="24"/>
      <c r="D54" s="12">
        <f>SUM(-Q49)</f>
        <v>-22886564</v>
      </c>
      <c r="E54" s="21"/>
      <c r="F54" s="21"/>
      <c r="G54" s="20"/>
      <c r="H54" s="20"/>
      <c r="I54" s="20"/>
      <c r="K54" s="19"/>
      <c r="L54" s="21"/>
      <c r="M54" s="21"/>
      <c r="R54" s="21"/>
    </row>
    <row r="55" spans="1:18" x14ac:dyDescent="0.3">
      <c r="A55" s="22" t="s">
        <v>62</v>
      </c>
      <c r="B55" s="23"/>
      <c r="C55" s="24"/>
      <c r="D55" s="2">
        <v>-21103359</v>
      </c>
      <c r="E55" s="21"/>
      <c r="F55" s="21"/>
      <c r="G55" s="20"/>
      <c r="H55" s="20"/>
      <c r="I55" s="20"/>
      <c r="K55" s="19"/>
      <c r="L55" s="21"/>
      <c r="M55" s="21"/>
      <c r="R55" s="21"/>
    </row>
    <row r="56" spans="1:18" x14ac:dyDescent="0.3">
      <c r="A56" s="22" t="s">
        <v>82</v>
      </c>
      <c r="B56" s="23"/>
      <c r="C56" s="24"/>
      <c r="D56" s="2">
        <v>-6068400</v>
      </c>
      <c r="E56" s="21"/>
      <c r="F56" s="21"/>
      <c r="G56" s="20"/>
      <c r="H56" s="20"/>
      <c r="I56" s="20"/>
      <c r="K56" s="19"/>
      <c r="L56" s="21"/>
      <c r="M56" s="21"/>
      <c r="R56" s="21"/>
    </row>
    <row r="57" spans="1:18" x14ac:dyDescent="0.3">
      <c r="A57" s="22" t="s">
        <v>67</v>
      </c>
      <c r="B57" s="23"/>
      <c r="C57" s="24"/>
      <c r="D57" s="2">
        <v>500000</v>
      </c>
      <c r="E57" s="21"/>
      <c r="F57" s="21"/>
      <c r="G57" s="20"/>
      <c r="H57" s="20"/>
      <c r="I57" s="20"/>
      <c r="K57" s="19"/>
      <c r="L57" s="21"/>
      <c r="M57" s="21"/>
      <c r="R57" s="21"/>
    </row>
    <row r="58" spans="1:18" x14ac:dyDescent="0.3">
      <c r="A58" s="22" t="s">
        <v>68</v>
      </c>
      <c r="B58" s="23"/>
      <c r="C58" s="24"/>
      <c r="D58" s="2">
        <v>-6500000</v>
      </c>
      <c r="E58" s="26" t="s">
        <v>74</v>
      </c>
      <c r="F58" s="21"/>
      <c r="G58" s="20"/>
      <c r="H58" s="20"/>
      <c r="I58" s="20"/>
      <c r="K58" s="19"/>
      <c r="L58" s="21"/>
      <c r="M58" s="21"/>
      <c r="R58" s="21"/>
    </row>
    <row r="59" spans="1:18" x14ac:dyDescent="0.3">
      <c r="A59" s="22" t="s">
        <v>59</v>
      </c>
      <c r="B59" s="23"/>
      <c r="C59" s="24"/>
      <c r="D59" s="2">
        <f>SUM(D52:D58)</f>
        <v>-0.29999998211860657</v>
      </c>
      <c r="E59" s="21"/>
      <c r="F59" s="21"/>
      <c r="G59" s="20"/>
      <c r="H59" s="20"/>
      <c r="I59" s="20"/>
      <c r="K59" s="19"/>
      <c r="L59" s="21"/>
      <c r="M59" s="21"/>
      <c r="R59" s="21"/>
    </row>
    <row r="60" spans="1:18" x14ac:dyDescent="0.3">
      <c r="A60" s="21"/>
      <c r="B60" s="21"/>
      <c r="C60" s="21"/>
      <c r="D60" s="21"/>
      <c r="E60" s="21"/>
      <c r="F60" s="20"/>
      <c r="G60" s="20"/>
      <c r="H60" s="20"/>
      <c r="I60" s="21"/>
      <c r="R60" s="21"/>
    </row>
    <row r="61" spans="1:18" x14ac:dyDescent="0.3">
      <c r="A61" s="26" t="s">
        <v>72</v>
      </c>
      <c r="B61" s="21"/>
      <c r="C61" s="21"/>
      <c r="D61" s="21"/>
      <c r="E61" s="21"/>
      <c r="F61" s="20"/>
      <c r="G61" s="20"/>
      <c r="H61" s="20"/>
      <c r="I61" s="21"/>
      <c r="R61" s="21"/>
    </row>
    <row r="62" spans="1:18" x14ac:dyDescent="0.3">
      <c r="A62" s="26" t="s">
        <v>73</v>
      </c>
      <c r="B62" s="21"/>
      <c r="C62" s="21"/>
      <c r="D62" s="21"/>
      <c r="E62" s="21"/>
      <c r="F62" s="20"/>
      <c r="G62" s="20"/>
      <c r="H62" s="20"/>
      <c r="I62" s="21"/>
      <c r="R62" s="21"/>
    </row>
    <row r="63" spans="1:18" x14ac:dyDescent="0.3">
      <c r="A63" s="26"/>
      <c r="B63" s="21"/>
      <c r="C63" s="21"/>
      <c r="D63" s="21"/>
      <c r="E63" s="21"/>
      <c r="F63" s="20"/>
      <c r="G63" s="20"/>
      <c r="H63" s="20"/>
      <c r="I63" s="21"/>
      <c r="R63" s="21"/>
    </row>
  </sheetData>
  <pageMargins left="0.23622047244094491" right="0.23622047244094491" top="0.19685039370078741" bottom="0.35433070866141736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Folkekirkens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Rønde Bak</dc:creator>
  <cp:lastModifiedBy>Lene Rønde Bak</cp:lastModifiedBy>
  <cp:lastPrinted>2023-08-18T09:26:19Z</cp:lastPrinted>
  <dcterms:created xsi:type="dcterms:W3CDTF">2021-08-19T06:15:42Z</dcterms:created>
  <dcterms:modified xsi:type="dcterms:W3CDTF">2023-09-06T12:25:05Z</dcterms:modified>
</cp:coreProperties>
</file>